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adynas\Documents\Zaanstad\"/>
    </mc:Choice>
  </mc:AlternateContent>
  <bookViews>
    <workbookView xWindow="0" yWindow="0" windowWidth="20490" windowHeight="8895"/>
  </bookViews>
  <sheets>
    <sheet name="Blad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B32" i="1"/>
  <c r="G33" i="1"/>
  <c r="G34" i="1"/>
  <c r="D28" i="1"/>
  <c r="E28" i="1"/>
  <c r="F28" i="1"/>
  <c r="C28" i="1"/>
  <c r="D34" i="1"/>
  <c r="E34" i="1"/>
  <c r="F34" i="1"/>
  <c r="C34" i="1"/>
  <c r="D33" i="1"/>
  <c r="E33" i="1"/>
  <c r="F33" i="1"/>
  <c r="C33" i="1"/>
  <c r="D31" i="1"/>
  <c r="E31" i="1"/>
  <c r="G31" i="1" s="1"/>
  <c r="F31" i="1"/>
  <c r="C31" i="1"/>
  <c r="B31" i="1"/>
  <c r="F29" i="1"/>
  <c r="C29" i="1"/>
  <c r="D29" i="1"/>
  <c r="E29" i="1"/>
  <c r="B30" i="1"/>
  <c r="C27" i="1"/>
  <c r="C30" i="1" s="1"/>
  <c r="D27" i="1"/>
  <c r="D30" i="1" s="1"/>
  <c r="E27" i="1"/>
  <c r="E30" i="1" s="1"/>
  <c r="F27" i="1"/>
  <c r="F30" i="1" s="1"/>
  <c r="B27" i="1"/>
  <c r="G30" i="1" l="1"/>
  <c r="G27" i="1"/>
  <c r="F19" i="1"/>
  <c r="C19" i="1"/>
  <c r="D19" i="1"/>
  <c r="E19" i="1"/>
  <c r="G19" i="1" s="1"/>
  <c r="B19" i="1"/>
  <c r="G18" i="1"/>
  <c r="F12" i="1"/>
  <c r="G12" i="1" s="1"/>
  <c r="G11" i="1"/>
  <c r="F9" i="1"/>
  <c r="F10" i="1" s="1"/>
  <c r="G9" i="1" l="1"/>
  <c r="G23" i="1"/>
  <c r="G28" i="1" s="1"/>
  <c r="G24" i="1"/>
  <c r="G25" i="1"/>
  <c r="G26" i="1"/>
  <c r="G16" i="1"/>
  <c r="C17" i="1" l="1"/>
  <c r="D17" i="1"/>
  <c r="E17" i="1"/>
  <c r="F17" i="1"/>
  <c r="B17" i="1"/>
  <c r="F14" i="1"/>
  <c r="E15" i="1"/>
  <c r="E21" i="1" s="1"/>
  <c r="D15" i="1"/>
  <c r="C15" i="1"/>
  <c r="C21" i="1" s="1"/>
  <c r="C10" i="1"/>
  <c r="D10" i="1"/>
  <c r="E10" i="1"/>
  <c r="B10" i="1"/>
  <c r="B15" i="1"/>
  <c r="B21" i="1" s="1"/>
  <c r="D21" i="1" l="1"/>
  <c r="G10" i="1"/>
  <c r="B22" i="1"/>
  <c r="G17" i="1"/>
  <c r="F15" i="1"/>
  <c r="G14" i="1"/>
  <c r="D13" i="1"/>
  <c r="F13" i="1"/>
  <c r="B13" i="1"/>
  <c r="C13" i="1"/>
  <c r="E13" i="1"/>
  <c r="G15" i="1" l="1"/>
  <c r="F21" i="1"/>
  <c r="C22" i="1"/>
  <c r="E22" i="1"/>
  <c r="D22" i="1"/>
  <c r="F22" i="1"/>
  <c r="G13" i="1"/>
  <c r="G22" i="1" l="1"/>
  <c r="G29" i="1" s="1"/>
  <c r="G21" i="1"/>
</calcChain>
</file>

<file path=xl/sharedStrings.xml><?xml version="1.0" encoding="utf-8"?>
<sst xmlns="http://schemas.openxmlformats.org/spreadsheetml/2006/main" count="85" uniqueCount="78">
  <si>
    <t>energielasten p/mnd</t>
  </si>
  <si>
    <t>energielasten p/jr</t>
  </si>
  <si>
    <t>minimale isolatie</t>
  </si>
  <si>
    <t>stapje verder</t>
  </si>
  <si>
    <t>all-electric</t>
  </si>
  <si>
    <t>Peter</t>
  </si>
  <si>
    <t>kg CO2 totaal p/jr</t>
  </si>
  <si>
    <t>kg CO2 besparing p/jr</t>
  </si>
  <si>
    <t>n.v.t</t>
  </si>
  <si>
    <t>gasgestookte cv-ketel, geen isolatiemaatregelen</t>
  </si>
  <si>
    <t>vloerisolatie, spouwmuurisolatie</t>
  </si>
  <si>
    <t>hybride warmtepomp, vloerisolatie, spouwmuurisolatie, dakisolatie, hr++ glas</t>
  </si>
  <si>
    <t xml:space="preserve"> warmtepomp en balansventilatie met warmteterugwinning, vloerverwarming, vloerisolatie, spouwmuurisolatie, dakisolatie, triple glas, kunststof kozijnen</t>
  </si>
  <si>
    <t>"all-electric" (advies Zaanstad / Duurzaam Bouwloket)</t>
  </si>
  <si>
    <t>pellets kg p/jr</t>
  </si>
  <si>
    <t>gas m3 p/jr</t>
  </si>
  <si>
    <t>stroom kWh p/jr</t>
  </si>
  <si>
    <t>pellets kosten p/jr</t>
  </si>
  <si>
    <t>pellets kosten p/mnd</t>
  </si>
  <si>
    <t>"Peter" (de methode Peter Goldstein)</t>
  </si>
  <si>
    <t>"stapje verder" (half werk)</t>
  </si>
  <si>
    <t>minimale isolatie (no-regret maatregelen)</t>
  </si>
  <si>
    <t>geen maatrelen</t>
  </si>
  <si>
    <t>kg CO2 p/jr pellets (emissie 0,063 p/kg)</t>
  </si>
  <si>
    <r>
      <t xml:space="preserve">kg CO2 p/jr gas </t>
    </r>
    <r>
      <rPr>
        <b/>
        <i/>
        <sz val="11"/>
        <color theme="1"/>
        <rFont val="Calibri"/>
        <family val="2"/>
        <scheme val="minor"/>
      </rPr>
      <t>(emissie 1,89 p/nm3)</t>
    </r>
  </si>
  <si>
    <r>
      <t>kg CO2 p/jr stroom</t>
    </r>
    <r>
      <rPr>
        <b/>
        <i/>
        <sz val="11"/>
        <color theme="1"/>
        <rFont val="Calibri"/>
        <family val="2"/>
        <scheme val="minor"/>
      </rPr>
      <t xml:space="preserve"> (emissie 0,649 p/opgewekte kWh)</t>
    </r>
  </si>
  <si>
    <t>geen maatregelen (dus niks doen aan je huis)</t>
  </si>
  <si>
    <t>voorbeeld Zaanstad / Duurzaam Bouwloket rijtjes woning uit 1971, Peter's hoekwoning uit 1937</t>
  </si>
  <si>
    <t>?</t>
  </si>
  <si>
    <t>kg CO2 bij productie en vervoer materiaal</t>
  </si>
  <si>
    <r>
      <t>kosten en opbrengsten bij verduurzamen huis</t>
    </r>
    <r>
      <rPr>
        <sz val="11"/>
        <color theme="1"/>
        <rFont val="Calibri"/>
        <family val="2"/>
        <scheme val="minor"/>
      </rPr>
      <t xml:space="preserve"> i.g.v.</t>
    </r>
  </si>
  <si>
    <t>pelletketel/-kachel met fijnstoffilter, zonneboiler (200 ltr), buffer (200 ltr), zonnepanelen (3kWP), vloerisolatie, spouwmuurisolatie, dakisolatie, hr+ glas, wat domotica</t>
  </si>
  <si>
    <t>kosten Zaanstad CO2 besparing p/ton over 10 jaar</t>
  </si>
  <si>
    <t>voor bijvoorbeeld zonneboiler, zonnepanelen, kachel, isolatiemateriaal etc.</t>
  </si>
  <si>
    <t>de jaarnota van de energieleverancier</t>
  </si>
  <si>
    <t>de maandlasten aan de energieleverancier</t>
  </si>
  <si>
    <t>toelichting</t>
  </si>
  <si>
    <t>verbruikskosten 2018: 81  kg Plospan bruin á €3,59 en 2 autoritjes naar de Hornbach 0,19 p/km</t>
  </si>
  <si>
    <t>verbruikskosten pellets / 12</t>
  </si>
  <si>
    <t>netto stroomverbruik, inclusief teruglevering</t>
  </si>
  <si>
    <t>gasverbruik per jaar</t>
  </si>
  <si>
    <t>netto CO2 emissie (WTW) voor afgenomen grijze - en teruggeleverde groene stroom</t>
  </si>
  <si>
    <t>netto CO2 emissie (WTW) van verstookt aardgas</t>
  </si>
  <si>
    <t>verbruikte pellets 2018</t>
  </si>
  <si>
    <t>netto CO2 emissie (WTW) van verstookte pellets</t>
  </si>
  <si>
    <t>besparing t.o.v. niets doen. Peter: bijna 6 ton!</t>
  </si>
  <si>
    <t>totale netto CO2 uitstoot (WTW) energieverbruik(ers) / teruglevering</t>
  </si>
  <si>
    <t>kosten per ton CO2 besparing bij deze investering en afschrijving over 10 jaar</t>
  </si>
  <si>
    <t>Peter: BTW teruggave en subsidie 2013 zonnepanelen</t>
  </si>
  <si>
    <t>Peter: ISDE 2018 (gelijk in 2019)</t>
  </si>
  <si>
    <t>Stappensubsidie. Peter: N.O.M Zaanstad 2018 (inmiddels afgeschaft)</t>
  </si>
  <si>
    <t>terugverdiend na 10 jaar</t>
  </si>
  <si>
    <t>besparing energie lasten p/mnd</t>
  </si>
  <si>
    <t>besparing energielasten t.o.v. niks doen</t>
  </si>
  <si>
    <t>totale investering gebruiker</t>
  </si>
  <si>
    <t>subsidie Zaanstad</t>
  </si>
  <si>
    <t>ISDE</t>
  </si>
  <si>
    <t xml:space="preserve">SEEH / overig </t>
  </si>
  <si>
    <t>totale investering maatregelen</t>
  </si>
  <si>
    <t>percentage subsidie</t>
  </si>
  <si>
    <t>n.v.t.</t>
  </si>
  <si>
    <t>kosten gebruiker na 10 jaar</t>
  </si>
  <si>
    <t xml:space="preserve">verschil </t>
  </si>
  <si>
    <t>terugverdientijd in jaren</t>
  </si>
  <si>
    <t>nooit</t>
  </si>
  <si>
    <t>kosten gebruiker na 7 jaar en 8 maanden</t>
  </si>
  <si>
    <t>terugverdiend na 7 jaar en 8 maanden</t>
  </si>
  <si>
    <t>7 jaar en 8 maanden</t>
  </si>
  <si>
    <t>Kosten duurzame maatregelen na aftrek van subsidies</t>
  </si>
  <si>
    <t>Aandeel subsidie op totale kosten maatregelen</t>
  </si>
  <si>
    <t>investering + maandlasten na 10 jaar minus de besparing</t>
  </si>
  <si>
    <t>verschil kosten en besparing na 10 jaar</t>
  </si>
  <si>
    <t>investering + maandlasten na 10 jaar(afschrijftijd)  bij gelijkblijvende energieprijzen en belastingen</t>
  </si>
  <si>
    <t>uitgegeven op break-even point Peter</t>
  </si>
  <si>
    <t>bespaard op break-even point Peter</t>
  </si>
  <si>
    <t>verlies / winst na 10 jaar</t>
  </si>
  <si>
    <t>terugverdientijd (dus alleen Peter)</t>
  </si>
  <si>
    <t>Kosten duurzame maatregelen. Peter: incl. ca €5000,- aan mogelijk overbodige meerkosten (voor schoorsteen, buffervat, fijnstoffilter, extra cv-leiding, extra arbeidsuren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</si>
</sst>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4" fontId="0" fillId="0" borderId="0" xfId="0" applyNumberFormat="1"/>
    <xf numFmtId="0" fontId="0" fillId="0" borderId="0" xfId="0" applyNumberFormat="1"/>
    <xf numFmtId="43" fontId="0" fillId="0" borderId="0" xfId="0" applyNumberFormat="1"/>
    <xf numFmtId="0" fontId="1" fillId="0" borderId="0" xfId="0" applyFont="1"/>
    <xf numFmtId="44" fontId="1" fillId="0" borderId="0" xfId="0" applyNumberFormat="1" applyFont="1"/>
    <xf numFmtId="43" fontId="1" fillId="0" borderId="0" xfId="0" applyNumberFormat="1" applyFont="1"/>
    <xf numFmtId="0" fontId="1" fillId="0" borderId="0" xfId="0" applyNumberFormat="1" applyFont="1"/>
    <xf numFmtId="0" fontId="3" fillId="0" borderId="0" xfId="0" applyFont="1"/>
    <xf numFmtId="0" fontId="1" fillId="2" borderId="0" xfId="0" applyFont="1" applyFill="1"/>
    <xf numFmtId="0" fontId="0" fillId="2" borderId="0" xfId="0" applyNumberFormat="1" applyFill="1"/>
    <xf numFmtId="0" fontId="0" fillId="3" borderId="0" xfId="0" applyNumberFormat="1" applyFill="1"/>
    <xf numFmtId="0" fontId="1" fillId="4" borderId="0" xfId="0" applyFont="1" applyFill="1"/>
    <xf numFmtId="44" fontId="0" fillId="4" borderId="0" xfId="0" applyNumberFormat="1" applyFill="1"/>
    <xf numFmtId="0" fontId="0" fillId="4" borderId="0" xfId="0" applyFill="1"/>
    <xf numFmtId="0" fontId="0" fillId="4" borderId="0" xfId="0" applyNumberFormat="1" applyFill="1"/>
    <xf numFmtId="44" fontId="2" fillId="4" borderId="0" xfId="0" applyNumberFormat="1" applyFont="1" applyFill="1"/>
    <xf numFmtId="0" fontId="3" fillId="0" borderId="0" xfId="0" applyNumberFormat="1" applyFont="1"/>
    <xf numFmtId="0" fontId="4" fillId="0" borderId="0" xfId="0" applyFont="1"/>
    <xf numFmtId="0" fontId="1" fillId="2" borderId="0" xfId="0" applyNumberFormat="1" applyFont="1" applyFill="1"/>
    <xf numFmtId="44" fontId="0" fillId="2" borderId="0" xfId="0" applyNumberFormat="1" applyFont="1" applyFill="1"/>
    <xf numFmtId="0" fontId="0" fillId="2" borderId="0" xfId="0" applyNumberFormat="1" applyFont="1" applyFill="1"/>
    <xf numFmtId="0" fontId="5" fillId="3" borderId="0" xfId="0" applyFont="1" applyFill="1"/>
    <xf numFmtId="44" fontId="6" fillId="3" borderId="0" xfId="0" applyNumberFormat="1" applyFont="1" applyFill="1"/>
    <xf numFmtId="3" fontId="6" fillId="3" borderId="0" xfId="0" applyNumberFormat="1" applyFont="1" applyFill="1"/>
    <xf numFmtId="0" fontId="6" fillId="3" borderId="0" xfId="0" applyNumberFormat="1" applyFont="1" applyFill="1"/>
    <xf numFmtId="0" fontId="6" fillId="3" borderId="0" xfId="0" applyFont="1" applyFill="1"/>
    <xf numFmtId="0" fontId="0" fillId="0" borderId="0" xfId="0" applyNumberFormat="1" applyFont="1"/>
    <xf numFmtId="0" fontId="0" fillId="3" borderId="0" xfId="0" applyNumberFormat="1" applyFont="1" applyFill="1"/>
    <xf numFmtId="0" fontId="0" fillId="4" borderId="0" xfId="0" applyNumberFormat="1" applyFont="1" applyFill="1"/>
    <xf numFmtId="0" fontId="1" fillId="4" borderId="0" xfId="0" applyNumberFormat="1" applyFont="1" applyFill="1"/>
    <xf numFmtId="0" fontId="5" fillId="3" borderId="0" xfId="0" applyNumberFormat="1" applyFont="1" applyFill="1"/>
    <xf numFmtId="44" fontId="0" fillId="3" borderId="0" xfId="0" applyNumberFormat="1" applyFill="1"/>
    <xf numFmtId="44" fontId="6" fillId="2" borderId="0" xfId="0" applyNumberFormat="1" applyFont="1" applyFill="1"/>
    <xf numFmtId="164" fontId="0" fillId="0" borderId="0" xfId="0" applyNumberFormat="1"/>
    <xf numFmtId="10" fontId="0" fillId="0" borderId="0" xfId="0" applyNumberFormat="1"/>
    <xf numFmtId="10" fontId="0" fillId="3" borderId="0" xfId="0" applyNumberFormat="1" applyFill="1"/>
    <xf numFmtId="10" fontId="0" fillId="4" borderId="0" xfId="0" applyNumberFormat="1" applyFill="1"/>
    <xf numFmtId="10" fontId="0" fillId="2" borderId="0" xfId="0" applyNumberFormat="1" applyFill="1"/>
    <xf numFmtId="2" fontId="0" fillId="2" borderId="0" xfId="0" applyNumberFormat="1" applyFill="1"/>
    <xf numFmtId="2" fontId="1" fillId="0" borderId="0" xfId="0" applyNumberFormat="1" applyFont="1"/>
    <xf numFmtId="2" fontId="1" fillId="3" borderId="0" xfId="0" applyNumberFormat="1" applyFont="1" applyFill="1"/>
    <xf numFmtId="2" fontId="1" fillId="4" borderId="0" xfId="0" applyNumberFormat="1" applyFont="1" applyFill="1"/>
    <xf numFmtId="44" fontId="1" fillId="3" borderId="0" xfId="0" applyNumberFormat="1" applyFont="1" applyFill="1"/>
    <xf numFmtId="44" fontId="1" fillId="4" borderId="0" xfId="0" applyNumberFormat="1" applyFont="1" applyFill="1"/>
    <xf numFmtId="44" fontId="1" fillId="2" borderId="0" xfId="0" applyNumberFormat="1" applyFont="1" applyFill="1"/>
    <xf numFmtId="44" fontId="5" fillId="3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topLeftCell="A10" zoomScaleNormal="100" workbookViewId="0">
      <selection activeCell="H24" sqref="H24"/>
    </sheetView>
  </sheetViews>
  <sheetFormatPr defaultRowHeight="15" x14ac:dyDescent="0.25"/>
  <cols>
    <col min="1" max="1" width="63.85546875" bestFit="1" customWidth="1"/>
    <col min="2" max="2" width="17" style="1" customWidth="1"/>
    <col min="3" max="3" width="17.5703125" style="1" customWidth="1"/>
    <col min="4" max="4" width="13.5703125" style="1" customWidth="1"/>
    <col min="5" max="5" width="11.7109375" bestFit="1" customWidth="1"/>
    <col min="6" max="6" width="11.42578125" bestFit="1" customWidth="1"/>
    <col min="7" max="7" width="12.140625" bestFit="1" customWidth="1"/>
    <col min="8" max="8" width="10.7109375" bestFit="1" customWidth="1"/>
    <col min="9" max="9" width="12.5703125" bestFit="1" customWidth="1"/>
    <col min="10" max="10" width="13.85546875" customWidth="1"/>
    <col min="11" max="11" width="11.85546875" style="1" bestFit="1" customWidth="1"/>
    <col min="12" max="12" width="26" style="3" bestFit="1" customWidth="1"/>
    <col min="13" max="13" width="10.42578125" style="1" bestFit="1" customWidth="1"/>
    <col min="14" max="14" width="10.42578125" style="1" customWidth="1"/>
    <col min="15" max="15" width="10.42578125" style="1" bestFit="1" customWidth="1"/>
  </cols>
  <sheetData>
    <row r="1" spans="1:15" x14ac:dyDescent="0.25">
      <c r="A1" s="4" t="s">
        <v>30</v>
      </c>
      <c r="B1" s="1" t="s">
        <v>27</v>
      </c>
    </row>
    <row r="2" spans="1:15" x14ac:dyDescent="0.25">
      <c r="A2" s="8" t="s">
        <v>26</v>
      </c>
      <c r="B2" s="1" t="s">
        <v>9</v>
      </c>
    </row>
    <row r="3" spans="1:15" x14ac:dyDescent="0.25">
      <c r="A3" s="8" t="s">
        <v>21</v>
      </c>
      <c r="B3" s="1" t="s">
        <v>10</v>
      </c>
    </row>
    <row r="4" spans="1:15" x14ac:dyDescent="0.25">
      <c r="A4" s="8" t="s">
        <v>20</v>
      </c>
      <c r="B4" s="1" t="s">
        <v>11</v>
      </c>
    </row>
    <row r="5" spans="1:15" x14ac:dyDescent="0.25">
      <c r="A5" s="8" t="s">
        <v>13</v>
      </c>
      <c r="B5" t="s">
        <v>12</v>
      </c>
    </row>
    <row r="6" spans="1:15" x14ac:dyDescent="0.25">
      <c r="A6" s="8" t="s">
        <v>19</v>
      </c>
      <c r="B6" t="s">
        <v>31</v>
      </c>
    </row>
    <row r="7" spans="1:15" x14ac:dyDescent="0.25">
      <c r="B7"/>
    </row>
    <row r="8" spans="1:15" s="4" customFormat="1" x14ac:dyDescent="0.25">
      <c r="B8" s="4" t="s">
        <v>22</v>
      </c>
      <c r="C8" s="4" t="s">
        <v>2</v>
      </c>
      <c r="D8" s="4" t="s">
        <v>3</v>
      </c>
      <c r="E8" s="22" t="s">
        <v>4</v>
      </c>
      <c r="F8" s="12" t="s">
        <v>5</v>
      </c>
      <c r="G8" s="9" t="s">
        <v>62</v>
      </c>
      <c r="H8" s="18" t="s">
        <v>36</v>
      </c>
      <c r="K8" s="5"/>
      <c r="L8" s="6"/>
      <c r="M8" s="5"/>
      <c r="N8" s="5"/>
      <c r="O8" s="5"/>
    </row>
    <row r="9" spans="1:15" x14ac:dyDescent="0.25">
      <c r="A9" s="5" t="s">
        <v>1</v>
      </c>
      <c r="B9" s="1">
        <v>2100</v>
      </c>
      <c r="C9" s="1">
        <v>1870</v>
      </c>
      <c r="D9" s="1">
        <v>1760</v>
      </c>
      <c r="E9" s="23">
        <v>1274</v>
      </c>
      <c r="F9" s="13">
        <f>-313.64-30</f>
        <v>-343.64</v>
      </c>
      <c r="G9" s="20">
        <f t="shared" ref="G9:G19" si="0">E9-F9</f>
        <v>1617.6399999999999</v>
      </c>
      <c r="H9" s="8" t="s">
        <v>34</v>
      </c>
    </row>
    <row r="10" spans="1:15" x14ac:dyDescent="0.25">
      <c r="A10" s="5" t="s">
        <v>0</v>
      </c>
      <c r="B10" s="1">
        <f>B9/12</f>
        <v>175</v>
      </c>
      <c r="C10" s="1">
        <f t="shared" ref="C10:F10" si="1">C9/12</f>
        <v>155.83333333333334</v>
      </c>
      <c r="D10" s="1">
        <f t="shared" si="1"/>
        <v>146.66666666666666</v>
      </c>
      <c r="E10" s="23">
        <f t="shared" si="1"/>
        <v>106.16666666666667</v>
      </c>
      <c r="F10" s="13">
        <f t="shared" si="1"/>
        <v>-28.636666666666667</v>
      </c>
      <c r="G10" s="20">
        <f t="shared" si="0"/>
        <v>134.80333333333334</v>
      </c>
      <c r="H10" s="8" t="s">
        <v>35</v>
      </c>
    </row>
    <row r="11" spans="1:15" x14ac:dyDescent="0.25">
      <c r="A11" s="5" t="s">
        <v>17</v>
      </c>
      <c r="B11" s="1">
        <v>0</v>
      </c>
      <c r="C11" s="1">
        <v>0</v>
      </c>
      <c r="D11" s="1">
        <v>0</v>
      </c>
      <c r="E11" s="23">
        <v>0</v>
      </c>
      <c r="F11" s="13">
        <v>353.75</v>
      </c>
      <c r="G11" s="20">
        <f t="shared" si="0"/>
        <v>-353.75</v>
      </c>
      <c r="H11" s="8" t="s">
        <v>37</v>
      </c>
    </row>
    <row r="12" spans="1:15" x14ac:dyDescent="0.25">
      <c r="A12" s="5" t="s">
        <v>18</v>
      </c>
      <c r="B12" s="1">
        <v>0</v>
      </c>
      <c r="C12" s="1">
        <v>0</v>
      </c>
      <c r="D12" s="1">
        <v>0</v>
      </c>
      <c r="E12" s="23">
        <v>0</v>
      </c>
      <c r="F12" s="13">
        <f>F11/12</f>
        <v>29.479166666666668</v>
      </c>
      <c r="G12" s="20">
        <f t="shared" si="0"/>
        <v>-29.479166666666668</v>
      </c>
      <c r="H12" s="8" t="s">
        <v>38</v>
      </c>
    </row>
    <row r="13" spans="1:15" x14ac:dyDescent="0.25">
      <c r="A13" s="5" t="s">
        <v>52</v>
      </c>
      <c r="B13" s="1">
        <f>B10-B10</f>
        <v>0</v>
      </c>
      <c r="C13" s="1">
        <f>B10-C10</f>
        <v>19.166666666666657</v>
      </c>
      <c r="D13" s="1">
        <f>B10-D10</f>
        <v>28.333333333333343</v>
      </c>
      <c r="E13" s="23">
        <f>B10-E10</f>
        <v>68.833333333333329</v>
      </c>
      <c r="F13" s="13">
        <f>B10-F10</f>
        <v>203.63666666666666</v>
      </c>
      <c r="G13" s="20">
        <f t="shared" si="0"/>
        <v>-134.80333333333334</v>
      </c>
      <c r="H13" s="8" t="s">
        <v>53</v>
      </c>
    </row>
    <row r="14" spans="1:15" x14ac:dyDescent="0.25">
      <c r="A14" s="4" t="s">
        <v>16</v>
      </c>
      <c r="B14">
        <v>3500</v>
      </c>
      <c r="C14">
        <v>3000</v>
      </c>
      <c r="D14">
        <v>4400</v>
      </c>
      <c r="E14" s="24">
        <v>5200</v>
      </c>
      <c r="F14" s="14">
        <f>478+636-1640-705</f>
        <v>-1231</v>
      </c>
      <c r="G14" s="21">
        <f t="shared" si="0"/>
        <v>6431</v>
      </c>
      <c r="H14" s="8" t="s">
        <v>39</v>
      </c>
    </row>
    <row r="15" spans="1:15" s="2" customFormat="1" x14ac:dyDescent="0.25">
      <c r="A15" s="7" t="s">
        <v>25</v>
      </c>
      <c r="B15" s="2">
        <f>B14*0.649</f>
        <v>2271.5</v>
      </c>
      <c r="C15" s="2">
        <f>C14*0.649</f>
        <v>1947</v>
      </c>
      <c r="D15" s="2">
        <f>D14*0.649</f>
        <v>2855.6</v>
      </c>
      <c r="E15" s="25">
        <f>E14*0.649</f>
        <v>3374.8</v>
      </c>
      <c r="F15" s="15">
        <f>F14*0.649</f>
        <v>-798.91899999999998</v>
      </c>
      <c r="G15" s="21">
        <f t="shared" si="0"/>
        <v>4173.7190000000001</v>
      </c>
      <c r="H15" s="17" t="s">
        <v>41</v>
      </c>
    </row>
    <row r="16" spans="1:15" s="2" customFormat="1" x14ac:dyDescent="0.25">
      <c r="A16" s="7" t="s">
        <v>15</v>
      </c>
      <c r="B16">
        <v>1500</v>
      </c>
      <c r="C16">
        <v>1200</v>
      </c>
      <c r="D16">
        <v>636</v>
      </c>
      <c r="E16" s="26">
        <v>0</v>
      </c>
      <c r="F16" s="15">
        <v>0</v>
      </c>
      <c r="G16" s="21">
        <f t="shared" si="0"/>
        <v>0</v>
      </c>
      <c r="H16" s="17" t="s">
        <v>40</v>
      </c>
    </row>
    <row r="17" spans="1:10" s="2" customFormat="1" x14ac:dyDescent="0.25">
      <c r="A17" s="7" t="s">
        <v>24</v>
      </c>
      <c r="B17" s="2">
        <f>B16*1.89</f>
        <v>2835</v>
      </c>
      <c r="C17" s="2">
        <f t="shared" ref="C17:F17" si="2">C16*1.89</f>
        <v>2268</v>
      </c>
      <c r="D17" s="2">
        <f t="shared" si="2"/>
        <v>1202.04</v>
      </c>
      <c r="E17" s="25">
        <f t="shared" si="2"/>
        <v>0</v>
      </c>
      <c r="F17" s="15">
        <f t="shared" si="2"/>
        <v>0</v>
      </c>
      <c r="G17" s="21">
        <f t="shared" si="0"/>
        <v>0</v>
      </c>
      <c r="H17" s="17" t="s">
        <v>42</v>
      </c>
    </row>
    <row r="18" spans="1:10" s="2" customFormat="1" x14ac:dyDescent="0.25">
      <c r="A18" s="7" t="s">
        <v>14</v>
      </c>
      <c r="B18" s="2">
        <v>0</v>
      </c>
      <c r="C18" s="2">
        <v>0</v>
      </c>
      <c r="D18" s="2">
        <v>0</v>
      </c>
      <c r="E18" s="25">
        <v>0</v>
      </c>
      <c r="F18" s="15">
        <v>81</v>
      </c>
      <c r="G18" s="21">
        <f t="shared" si="0"/>
        <v>-81</v>
      </c>
      <c r="H18" s="17" t="s">
        <v>43</v>
      </c>
    </row>
    <row r="19" spans="1:10" s="2" customFormat="1" x14ac:dyDescent="0.25">
      <c r="A19" s="7" t="s">
        <v>23</v>
      </c>
      <c r="B19" s="2">
        <f>B18*0.063</f>
        <v>0</v>
      </c>
      <c r="C19" s="2">
        <f t="shared" ref="C19:F19" si="3">C18*0.063</f>
        <v>0</v>
      </c>
      <c r="D19" s="2">
        <f t="shared" si="3"/>
        <v>0</v>
      </c>
      <c r="E19" s="25">
        <f t="shared" si="3"/>
        <v>0</v>
      </c>
      <c r="F19" s="15">
        <f t="shared" si="3"/>
        <v>5.1029999999999998</v>
      </c>
      <c r="G19" s="21">
        <f t="shared" si="0"/>
        <v>-5.1029999999999998</v>
      </c>
      <c r="H19" s="17" t="s">
        <v>44</v>
      </c>
    </row>
    <row r="20" spans="1:10" s="2" customFormat="1" x14ac:dyDescent="0.25">
      <c r="A20" s="7" t="s">
        <v>29</v>
      </c>
      <c r="B20" s="2">
        <v>0</v>
      </c>
      <c r="C20" s="2" t="s">
        <v>28</v>
      </c>
      <c r="D20" s="2" t="s">
        <v>28</v>
      </c>
      <c r="E20" s="11" t="s">
        <v>28</v>
      </c>
      <c r="F20" s="15" t="s">
        <v>28</v>
      </c>
      <c r="G20" s="10" t="s">
        <v>28</v>
      </c>
      <c r="H20" s="17" t="s">
        <v>33</v>
      </c>
      <c r="I20" s="17"/>
      <c r="J20" s="17"/>
    </row>
    <row r="21" spans="1:10" s="27" customFormat="1" x14ac:dyDescent="0.25">
      <c r="A21" s="7" t="s">
        <v>6</v>
      </c>
      <c r="B21" s="27">
        <f>B15+B17+B19</f>
        <v>5106.5</v>
      </c>
      <c r="C21" s="27">
        <f t="shared" ref="C21:D21" si="4">C15+C17+C19</f>
        <v>4215</v>
      </c>
      <c r="D21" s="27">
        <f t="shared" si="4"/>
        <v>4057.64</v>
      </c>
      <c r="E21" s="28">
        <f>E15+E17+E19</f>
        <v>3374.8</v>
      </c>
      <c r="F21" s="29">
        <f>F15+F17+F19</f>
        <v>-793.81600000000003</v>
      </c>
      <c r="G21" s="21">
        <f>E21-F21</f>
        <v>4168.616</v>
      </c>
      <c r="H21" s="17" t="s">
        <v>46</v>
      </c>
    </row>
    <row r="22" spans="1:10" s="2" customFormat="1" x14ac:dyDescent="0.25">
      <c r="A22" s="7" t="s">
        <v>7</v>
      </c>
      <c r="B22" s="7">
        <f>B21-B21</f>
        <v>0</v>
      </c>
      <c r="C22" s="7">
        <f>B21-C21</f>
        <v>891.5</v>
      </c>
      <c r="D22" s="7">
        <f>B21-D21</f>
        <v>1048.8600000000001</v>
      </c>
      <c r="E22" s="31">
        <f>B21-E21</f>
        <v>1731.6999999999998</v>
      </c>
      <c r="F22" s="30">
        <f>B21-F21</f>
        <v>5900.3159999999998</v>
      </c>
      <c r="G22" s="19">
        <f>E22-F22</f>
        <v>-4168.616</v>
      </c>
      <c r="H22" s="17" t="s">
        <v>45</v>
      </c>
    </row>
    <row r="23" spans="1:10" s="2" customFormat="1" x14ac:dyDescent="0.25">
      <c r="A23" s="7" t="s">
        <v>58</v>
      </c>
      <c r="B23" s="2">
        <v>0</v>
      </c>
      <c r="C23" s="1">
        <v>2625</v>
      </c>
      <c r="D23" s="1">
        <v>14925</v>
      </c>
      <c r="E23" s="23">
        <v>46725</v>
      </c>
      <c r="F23" s="16">
        <v>28055.35</v>
      </c>
      <c r="G23" s="20">
        <f t="shared" ref="G23:G27" si="5">E23-F23</f>
        <v>18669.650000000001</v>
      </c>
      <c r="H23" s="17" t="s">
        <v>77</v>
      </c>
    </row>
    <row r="24" spans="1:10" s="2" customFormat="1" x14ac:dyDescent="0.25">
      <c r="A24" s="7" t="s">
        <v>57</v>
      </c>
      <c r="B24" s="1">
        <v>0</v>
      </c>
      <c r="C24" s="1">
        <v>465</v>
      </c>
      <c r="D24" s="1">
        <v>2305</v>
      </c>
      <c r="E24" s="23">
        <v>4665</v>
      </c>
      <c r="F24" s="13">
        <v>1318.02</v>
      </c>
      <c r="G24" s="20">
        <f t="shared" si="5"/>
        <v>3346.98</v>
      </c>
      <c r="H24" s="17" t="s">
        <v>48</v>
      </c>
    </row>
    <row r="25" spans="1:10" s="2" customFormat="1" x14ac:dyDescent="0.25">
      <c r="A25" s="7" t="s">
        <v>56</v>
      </c>
      <c r="B25" s="1">
        <v>0</v>
      </c>
      <c r="C25" s="1"/>
      <c r="D25" s="1">
        <v>1700</v>
      </c>
      <c r="E25" s="23">
        <v>2400</v>
      </c>
      <c r="F25" s="13">
        <v>2652</v>
      </c>
      <c r="G25" s="20">
        <f t="shared" si="5"/>
        <v>-252</v>
      </c>
      <c r="H25" s="17" t="s">
        <v>49</v>
      </c>
    </row>
    <row r="26" spans="1:10" s="2" customFormat="1" x14ac:dyDescent="0.25">
      <c r="A26" s="7" t="s">
        <v>55</v>
      </c>
      <c r="B26" s="5">
        <v>0</v>
      </c>
      <c r="C26" s="5">
        <v>226.5</v>
      </c>
      <c r="D26" s="5">
        <v>2446.5</v>
      </c>
      <c r="E26" s="46">
        <v>9118.5</v>
      </c>
      <c r="F26" s="44">
        <v>2900</v>
      </c>
      <c r="G26" s="45">
        <f t="shared" si="5"/>
        <v>6218.5</v>
      </c>
      <c r="H26" s="17" t="s">
        <v>50</v>
      </c>
    </row>
    <row r="27" spans="1:10" s="2" customFormat="1" x14ac:dyDescent="0.25">
      <c r="A27" s="7" t="s">
        <v>54</v>
      </c>
      <c r="B27" s="1">
        <f>B23-(SUM(B24:B26))</f>
        <v>0</v>
      </c>
      <c r="C27" s="1">
        <f t="shared" ref="C27:F27" si="6">C23-(SUM(C24:C26))</f>
        <v>1933.5</v>
      </c>
      <c r="D27" s="1">
        <f t="shared" si="6"/>
        <v>8473.5</v>
      </c>
      <c r="E27" s="32">
        <f t="shared" si="6"/>
        <v>30541.5</v>
      </c>
      <c r="F27" s="13">
        <f t="shared" si="6"/>
        <v>21185.329999999998</v>
      </c>
      <c r="G27" s="20">
        <f t="shared" si="5"/>
        <v>9356.1700000000019</v>
      </c>
      <c r="H27" s="17" t="s">
        <v>68</v>
      </c>
    </row>
    <row r="28" spans="1:10" s="2" customFormat="1" x14ac:dyDescent="0.25">
      <c r="A28" s="7" t="s">
        <v>59</v>
      </c>
      <c r="B28" s="34" t="s">
        <v>60</v>
      </c>
      <c r="C28" s="35">
        <f>(100/C23*C26)/100</f>
        <v>8.6285714285714299E-2</v>
      </c>
      <c r="D28" s="35">
        <f t="shared" ref="D28:G28" si="7">(100/D23*D26)/100</f>
        <v>0.16391959798994976</v>
      </c>
      <c r="E28" s="36">
        <f t="shared" si="7"/>
        <v>0.19515248796147669</v>
      </c>
      <c r="F28" s="37">
        <f t="shared" si="7"/>
        <v>0.10336709397672815</v>
      </c>
      <c r="G28" s="38">
        <f t="shared" si="7"/>
        <v>0.33308069513890187</v>
      </c>
      <c r="H28" s="17" t="s">
        <v>69</v>
      </c>
    </row>
    <row r="29" spans="1:10" x14ac:dyDescent="0.25">
      <c r="A29" s="7" t="s">
        <v>32</v>
      </c>
      <c r="B29" s="1" t="s">
        <v>8</v>
      </c>
      <c r="C29" s="1">
        <f>C26/C22*(1000/10)</f>
        <v>25.406618059450363</v>
      </c>
      <c r="D29" s="1">
        <f>D26/D22*(1000/10)</f>
        <v>233.25324638178591</v>
      </c>
      <c r="E29" s="32">
        <f>E26/E22*(1000/10)</f>
        <v>526.56349252179939</v>
      </c>
      <c r="F29" s="13">
        <f>F26/F22*(1000/10)</f>
        <v>49.149909937027104</v>
      </c>
      <c r="G29" s="33">
        <f>G26/G22*(1000/10)</f>
        <v>-149.17421033743574</v>
      </c>
      <c r="H29" s="17" t="s">
        <v>47</v>
      </c>
    </row>
    <row r="30" spans="1:10" x14ac:dyDescent="0.25">
      <c r="A30" s="7" t="s">
        <v>61</v>
      </c>
      <c r="B30" s="1">
        <f t="shared" ref="B30:E30" si="8">B27+(10*B9)</f>
        <v>21000</v>
      </c>
      <c r="C30" s="1">
        <f t="shared" si="8"/>
        <v>20633.5</v>
      </c>
      <c r="D30" s="1">
        <f t="shared" si="8"/>
        <v>26073.5</v>
      </c>
      <c r="E30" s="32">
        <f t="shared" si="8"/>
        <v>43281.5</v>
      </c>
      <c r="F30" s="13">
        <f>F27+(10*F9)</f>
        <v>17748.93</v>
      </c>
      <c r="G30" s="33">
        <f>E30-F30</f>
        <v>25532.57</v>
      </c>
      <c r="H30" s="17" t="s">
        <v>72</v>
      </c>
    </row>
    <row r="31" spans="1:10" x14ac:dyDescent="0.25">
      <c r="A31" s="7" t="s">
        <v>51</v>
      </c>
      <c r="B31" s="1">
        <f>120*B13</f>
        <v>0</v>
      </c>
      <c r="C31" s="1">
        <f>10*12*C13</f>
        <v>2299.9999999999991</v>
      </c>
      <c r="D31" s="1">
        <f t="shared" ref="D31:F31" si="9">10*12*D13</f>
        <v>3400.0000000000009</v>
      </c>
      <c r="E31" s="32">
        <f t="shared" si="9"/>
        <v>8260</v>
      </c>
      <c r="F31" s="13">
        <f t="shared" si="9"/>
        <v>24436.399999999998</v>
      </c>
      <c r="G31" s="33">
        <f>E31-F31</f>
        <v>-16176.399999999998</v>
      </c>
      <c r="H31" s="8" t="s">
        <v>70</v>
      </c>
    </row>
    <row r="32" spans="1:10" x14ac:dyDescent="0.25">
      <c r="A32" s="7" t="s">
        <v>75</v>
      </c>
      <c r="B32" s="5">
        <f>B30-B31</f>
        <v>21000</v>
      </c>
      <c r="C32" s="5">
        <f t="shared" ref="C32:G32" si="10">C30-C31</f>
        <v>18333.5</v>
      </c>
      <c r="D32" s="5">
        <f t="shared" si="10"/>
        <v>22673.5</v>
      </c>
      <c r="E32" s="43">
        <f t="shared" si="10"/>
        <v>35021.5</v>
      </c>
      <c r="F32" s="44">
        <f t="shared" si="10"/>
        <v>-6687.4699999999975</v>
      </c>
      <c r="G32" s="45">
        <f t="shared" si="10"/>
        <v>41708.97</v>
      </c>
      <c r="H32" s="8" t="s">
        <v>71</v>
      </c>
    </row>
    <row r="33" spans="1:8" x14ac:dyDescent="0.25">
      <c r="A33" s="7" t="s">
        <v>65</v>
      </c>
      <c r="C33" s="1">
        <f>C27+(7*C9)+(7*C10)</f>
        <v>16114.333333333334</v>
      </c>
      <c r="D33" s="1">
        <f t="shared" ref="D33:F33" si="11">D27+(7*D9)+(7*D10)</f>
        <v>21820.166666666668</v>
      </c>
      <c r="E33" s="32">
        <f t="shared" si="11"/>
        <v>40202.666666666664</v>
      </c>
      <c r="F33" s="13">
        <f t="shared" si="11"/>
        <v>18579.393333333333</v>
      </c>
      <c r="G33" s="33">
        <f t="shared" ref="G33:G34" si="12">E33-F33</f>
        <v>21623.273333333331</v>
      </c>
      <c r="H33" s="8" t="s">
        <v>73</v>
      </c>
    </row>
    <row r="34" spans="1:8" x14ac:dyDescent="0.25">
      <c r="A34" s="7" t="s">
        <v>66</v>
      </c>
      <c r="C34" s="1">
        <f>(7*12*C13)+(8*C13)</f>
        <v>1763.3333333333323</v>
      </c>
      <c r="D34" s="1">
        <f t="shared" ref="D34:F34" si="13">(7*12*D13)+(8*D13)</f>
        <v>2606.6666666666679</v>
      </c>
      <c r="E34" s="32">
        <f t="shared" si="13"/>
        <v>6332.666666666667</v>
      </c>
      <c r="F34" s="13">
        <f t="shared" si="13"/>
        <v>18734.573333333334</v>
      </c>
      <c r="G34" s="33">
        <f t="shared" si="12"/>
        <v>-12401.906666666666</v>
      </c>
      <c r="H34" s="8" t="s">
        <v>74</v>
      </c>
    </row>
    <row r="35" spans="1:8" x14ac:dyDescent="0.25">
      <c r="A35" s="7" t="s">
        <v>63</v>
      </c>
      <c r="B35" s="40" t="s">
        <v>64</v>
      </c>
      <c r="C35" s="40" t="s">
        <v>64</v>
      </c>
      <c r="D35" s="40" t="s">
        <v>64</v>
      </c>
      <c r="E35" s="41" t="s">
        <v>64</v>
      </c>
      <c r="F35" s="42" t="s">
        <v>67</v>
      </c>
      <c r="G35" s="39"/>
      <c r="H35" s="8" t="s">
        <v>76</v>
      </c>
    </row>
    <row r="36" spans="1:8" x14ac:dyDescent="0.25">
      <c r="A36" s="7"/>
    </row>
  </sheetData>
  <pageMargins left="0.7" right="0.7" top="0.75" bottom="0.75" header="0.3" footer="0.3"/>
  <pageSetup paperSize="9"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Goldstein - VBVB</dc:creator>
  <cp:lastModifiedBy>Peter Goldstein - VBVB</cp:lastModifiedBy>
  <cp:lastPrinted>2019-11-20T09:24:52Z</cp:lastPrinted>
  <dcterms:created xsi:type="dcterms:W3CDTF">2019-11-19T21:11:22Z</dcterms:created>
  <dcterms:modified xsi:type="dcterms:W3CDTF">2019-11-20T12:11:34Z</dcterms:modified>
</cp:coreProperties>
</file>